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I VIET\CONG KHAI\du toan 2025\"/>
    </mc:Choice>
  </mc:AlternateContent>
  <bookViews>
    <workbookView xWindow="240" yWindow="580" windowWidth="19870" windowHeight="7210" firstSheet="1" activeTab="1"/>
  </bookViews>
  <sheets>
    <sheet name="results" sheetId="4" state="veryHidden" r:id="rId1"/>
    <sheet name="113" sheetId="1" r:id="rId2"/>
    <sheet name="114" sheetId="2" r:id="rId3"/>
    <sheet name="115" sheetId="3" r:id="rId4"/>
  </sheets>
  <calcPr calcId="162913"/>
</workbook>
</file>

<file path=xl/calcChain.xml><?xml version="1.0" encoding="utf-8"?>
<calcChain xmlns="http://schemas.openxmlformats.org/spreadsheetml/2006/main">
  <c r="D15" i="1" l="1"/>
  <c r="D17" i="1"/>
  <c r="C15" i="1"/>
  <c r="K21" i="3"/>
  <c r="I21" i="3"/>
  <c r="E16" i="1" l="1"/>
  <c r="E13" i="1"/>
  <c r="C7" i="1"/>
  <c r="C13" i="1"/>
  <c r="D7" i="1"/>
  <c r="D14" i="1"/>
  <c r="D20" i="1"/>
  <c r="H8" i="3" l="1"/>
  <c r="H18" i="3"/>
  <c r="J8" i="3"/>
  <c r="J12" i="3"/>
  <c r="J13" i="3"/>
  <c r="J16" i="3"/>
  <c r="J17" i="3"/>
  <c r="J18" i="3"/>
  <c r="J19" i="3"/>
  <c r="J10" i="3"/>
  <c r="I10" i="3"/>
  <c r="K10" i="3"/>
  <c r="I12" i="3"/>
  <c r="K12" i="3"/>
  <c r="F11" i="3"/>
  <c r="G10" i="3"/>
  <c r="F18" i="3" l="1"/>
  <c r="C18" i="3"/>
  <c r="E21" i="3"/>
  <c r="E20" i="3"/>
  <c r="E19" i="3"/>
  <c r="E18" i="3"/>
  <c r="E17" i="3"/>
  <c r="E16" i="3"/>
  <c r="E15" i="3"/>
  <c r="E8" i="3" s="1"/>
  <c r="E14" i="3"/>
  <c r="E13" i="3"/>
  <c r="D8" i="3"/>
  <c r="G8" i="3"/>
  <c r="F11" i="2"/>
  <c r="E11" i="2"/>
  <c r="F25" i="2"/>
  <c r="E25" i="2"/>
  <c r="H31" i="2"/>
  <c r="G31" i="2"/>
  <c r="C35" i="2"/>
  <c r="D35" i="2" s="1"/>
  <c r="E31" i="2"/>
  <c r="G28" i="2"/>
  <c r="F24" i="2"/>
  <c r="F21" i="2"/>
  <c r="D25" i="2"/>
  <c r="C25" i="2"/>
  <c r="D34" i="2"/>
  <c r="D28" i="2"/>
  <c r="D26" i="2"/>
  <c r="D24" i="2"/>
  <c r="D23" i="2"/>
  <c r="D21" i="2"/>
  <c r="D18" i="2"/>
  <c r="D12" i="2"/>
  <c r="D11" i="2"/>
  <c r="A3" i="2"/>
  <c r="F21" i="3" l="1"/>
  <c r="D18" i="1"/>
  <c r="F23" i="3"/>
  <c r="G24" i="2"/>
  <c r="D19" i="1" l="1"/>
  <c r="B19" i="1"/>
  <c r="H28" i="2"/>
  <c r="A3" i="3"/>
  <c r="E34" i="2" l="1"/>
  <c r="C18" i="1" l="1"/>
  <c r="K13" i="3"/>
  <c r="K14" i="3"/>
  <c r="K15" i="3"/>
  <c r="K16" i="3"/>
  <c r="K17" i="3"/>
  <c r="K19" i="3"/>
  <c r="K20" i="3"/>
  <c r="F10" i="3"/>
  <c r="F12" i="3"/>
  <c r="F13" i="3"/>
  <c r="F14" i="3"/>
  <c r="F15" i="3"/>
  <c r="F16" i="3"/>
  <c r="F17" i="3"/>
  <c r="F19" i="3"/>
  <c r="F20" i="3"/>
  <c r="F22" i="3"/>
  <c r="D16" i="1"/>
  <c r="C16" i="1"/>
  <c r="C17" i="3"/>
  <c r="C10" i="3"/>
  <c r="C11" i="3"/>
  <c r="C8" i="3" s="1"/>
  <c r="C12" i="3"/>
  <c r="C13" i="3"/>
  <c r="C14" i="3"/>
  <c r="C15" i="3"/>
  <c r="C16" i="3"/>
  <c r="C19" i="3"/>
  <c r="C20" i="3"/>
  <c r="C21" i="3"/>
  <c r="C12" i="1"/>
  <c r="F31" i="2"/>
  <c r="D13" i="1" s="1"/>
  <c r="F26" i="2"/>
  <c r="F23" i="2"/>
  <c r="F20" i="2" s="1"/>
  <c r="F18" i="2"/>
  <c r="H18" i="2"/>
  <c r="C11" i="1"/>
  <c r="F35" i="2"/>
  <c r="D12" i="1" s="1"/>
  <c r="F34" i="2"/>
  <c r="D11" i="1" s="1"/>
  <c r="E33" i="2"/>
  <c r="C33" i="2"/>
  <c r="G26" i="2"/>
  <c r="G27" i="2"/>
  <c r="G34" i="2"/>
  <c r="G35" i="2"/>
  <c r="H24" i="2"/>
  <c r="G21" i="2"/>
  <c r="G23" i="2"/>
  <c r="E20" i="2"/>
  <c r="C20" i="2"/>
  <c r="H27" i="2"/>
  <c r="G12" i="2"/>
  <c r="G18" i="2"/>
  <c r="G11" i="2"/>
  <c r="E10" i="2"/>
  <c r="E9" i="2" s="1"/>
  <c r="C10" i="2"/>
  <c r="F8" i="3" l="1"/>
  <c r="I17" i="3"/>
  <c r="I20" i="3"/>
  <c r="H23" i="2"/>
  <c r="I14" i="3"/>
  <c r="I15" i="3"/>
  <c r="D10" i="1"/>
  <c r="E18" i="1"/>
  <c r="I19" i="3"/>
  <c r="I16" i="3"/>
  <c r="I13" i="3"/>
  <c r="D33" i="2"/>
  <c r="G10" i="2"/>
  <c r="K18" i="3"/>
  <c r="H35" i="2"/>
  <c r="H34" i="2"/>
  <c r="F33" i="2"/>
  <c r="H12" i="2"/>
  <c r="E12" i="1"/>
  <c r="C17" i="1"/>
  <c r="E11" i="1"/>
  <c r="F19" i="2"/>
  <c r="H25" i="2"/>
  <c r="C19" i="2"/>
  <c r="C9" i="2" s="1"/>
  <c r="G25" i="2"/>
  <c r="G20" i="2"/>
  <c r="H11" i="2"/>
  <c r="C10" i="1"/>
  <c r="G33" i="2"/>
  <c r="D10" i="2"/>
  <c r="H26" i="2"/>
  <c r="F10" i="2"/>
  <c r="H21" i="2"/>
  <c r="E19" i="2"/>
  <c r="D20" i="2"/>
  <c r="D9" i="1" l="1"/>
  <c r="F9" i="2"/>
  <c r="D9" i="2"/>
  <c r="H33" i="2"/>
  <c r="I18" i="3"/>
  <c r="E10" i="1"/>
  <c r="I8" i="3"/>
  <c r="G19" i="2"/>
  <c r="K8" i="3"/>
  <c r="H10" i="2"/>
  <c r="D8" i="1"/>
  <c r="G9" i="2"/>
  <c r="C8" i="1"/>
  <c r="H20" i="2"/>
  <c r="D19" i="2"/>
  <c r="E17" i="1" l="1"/>
  <c r="E15" i="1"/>
  <c r="E8" i="1"/>
  <c r="H9" i="2"/>
  <c r="H19" i="2"/>
  <c r="C9" i="1"/>
  <c r="E7" i="1" l="1"/>
  <c r="E9" i="1"/>
</calcChain>
</file>

<file path=xl/sharedStrings.xml><?xml version="1.0" encoding="utf-8"?>
<sst xmlns="http://schemas.openxmlformats.org/spreadsheetml/2006/main" count="120" uniqueCount="91">
  <si>
    <t>Biểu số 113/CK TC-NSNN</t>
  </si>
  <si>
    <t>STT</t>
  </si>
  <si>
    <t>NỘI DUNG</t>
  </si>
  <si>
    <t>DỰ TOÁN NĂM</t>
  </si>
  <si>
    <t>SO SÁNH</t>
  </si>
  <si>
    <t>A</t>
  </si>
  <si>
    <t>B</t>
  </si>
  <si>
    <t>3=2/1</t>
  </si>
  <si>
    <t>I</t>
  </si>
  <si>
    <t>TỔNG SỐ THU</t>
  </si>
  <si>
    <t>Các khoản thu xã hưởng 100%</t>
  </si>
  <si>
    <t>Các khoản thu phân chia theo tỷ lệ (1)</t>
  </si>
  <si>
    <t>Thu bổ sung</t>
  </si>
  <si>
    <t>- Thu bổ sung cân đối</t>
  </si>
  <si>
    <t>- Thu bổ sung có mục tiêu</t>
  </si>
  <si>
    <t>Thu chuyển nguồn</t>
  </si>
  <si>
    <t>II</t>
  </si>
  <si>
    <t>TỔNG SỐ CHI</t>
  </si>
  <si>
    <t>Chi đầu tư phát triển</t>
  </si>
  <si>
    <t>Chi thường xuyên</t>
  </si>
  <si>
    <t>Dự phòng</t>
  </si>
  <si>
    <t>Biểu số 114/CK TC-NSNN</t>
  </si>
  <si>
    <t>SO SÁNH (%)</t>
  </si>
  <si>
    <t>THU NSNN</t>
  </si>
  <si>
    <t>THU NSX</t>
  </si>
  <si>
    <t>5=3/1</t>
  </si>
  <si>
    <t>6=4/2</t>
  </si>
  <si>
    <t>TỔNG THU</t>
  </si>
  <si>
    <t>Các khoản thu 100%</t>
  </si>
  <si>
    <t>Phí, lệ phí</t>
  </si>
  <si>
    <t>Thu từ quỹ đất công ích và thu hoa lợi công sản khác</t>
  </si>
  <si>
    <t>Thu từ hoạt động kinh tế và sự nghiệp</t>
  </si>
  <si>
    <t>Thu phạt, tịch thu khác theo quy định</t>
  </si>
  <si>
    <t>Thu từ tài sản được xác lập quyền sở hữu của nhà nước theo quy định</t>
  </si>
  <si>
    <t>Đóng góp của nhân dân theo quy định</t>
  </si>
  <si>
    <t>Đóng góp tự nguyện của các tổ chức, cá nhân</t>
  </si>
  <si>
    <t>Thu khác</t>
  </si>
  <si>
    <t>Các khoản thu phân chia theo tỷ lệ phần trăm (%)</t>
  </si>
  <si>
    <t>Các khoản thu phân chia</t>
  </si>
  <si>
    <t>- Thuế sử dụng đất phi nông nghiệp</t>
  </si>
  <si>
    <t>- Thuế sử dụng đất nông nghiệp thu từ hộ gia đình</t>
  </si>
  <si>
    <t>- Lệ phí môn bài thu từ cá nhân, hộ kinh doanh</t>
  </si>
  <si>
    <t>- Lệ phí trước bạ nhà, đất</t>
  </si>
  <si>
    <t>2</t>
  </si>
  <si>
    <t>Các khoản thu phân chia khác do cấp tỉnh quy định</t>
  </si>
  <si>
    <t>III</t>
  </si>
  <si>
    <t>Thu viện trợ không hoàn lại trực tiếp cho xã (nếu có)</t>
  </si>
  <si>
    <t>IV</t>
  </si>
  <si>
    <t>V</t>
  </si>
  <si>
    <t>Thu kết dư ngân sách năm trước</t>
  </si>
  <si>
    <t>VI</t>
  </si>
  <si>
    <t>Thu bổ sung từ ngân sách cấp trên</t>
  </si>
  <si>
    <t>Biểu số 115/CK TC-NSNN</t>
  </si>
  <si>
    <t>TỔNG SỐ</t>
  </si>
  <si>
    <t>XDCB</t>
  </si>
  <si>
    <t>TX</t>
  </si>
  <si>
    <t>7=4/1</t>
  </si>
  <si>
    <t>8=5/2</t>
  </si>
  <si>
    <t>10=6/3</t>
  </si>
  <si>
    <t>TỔNG CHI</t>
  </si>
  <si>
    <t>Trong đó</t>
  </si>
  <si>
    <t>Chi giáo dục</t>
  </si>
  <si>
    <t>Chi ứng dụng, chuyển giao công nghệ</t>
  </si>
  <si>
    <t>Chi y tế</t>
  </si>
  <si>
    <t>Chi văn hóa, thông tin</t>
  </si>
  <si>
    <t>Chi phát thanh, truyền thanh</t>
  </si>
  <si>
    <t>Chi thể dục thể thao</t>
  </si>
  <si>
    <t>Chi bảo vệ môi trường</t>
  </si>
  <si>
    <t>Chi các hoạt động kinh tế</t>
  </si>
  <si>
    <t>Chi hoạt động của cơ quan quản lý Nhà nước, Đảng, đoàn thể</t>
  </si>
  <si>
    <t>Chi cho công tác xã hội</t>
  </si>
  <si>
    <t>Chi khác</t>
  </si>
  <si>
    <t>Dự phòng ngân sách</t>
  </si>
  <si>
    <t xml:space="preserve">  - Thu thuế ngoài quốc doanh(TNDN+GTGT)</t>
  </si>
  <si>
    <t xml:space="preserve">  - Thu thuế thu nhập cá nhân</t>
  </si>
  <si>
    <t xml:space="preserve">  - Thu tiền sử dụng đất</t>
  </si>
  <si>
    <t>Đơn vị: đồng</t>
  </si>
  <si>
    <t>Chi nộp ngân sách cấp trên</t>
  </si>
  <si>
    <t xml:space="preserve">ƯỚC THỰC HIỆN NĂM </t>
  </si>
  <si>
    <t>ƯỚC THỰC HIỆN NĂM</t>
  </si>
  <si>
    <t>ƯỚC THỰC HIỆN CHI NGÂN SÁCH XÃ NĂM 2023</t>
  </si>
  <si>
    <t>UBND XÃ HOÀNG VÂN</t>
  </si>
  <si>
    <t>CÂN ĐỐI NGÂN SÁCH XÃ NĂM 2025</t>
  </si>
  <si>
    <t>(Kèm theo Quyết định số      /QĐ-UBND ngày 20 tháng 12 năm 2025)</t>
  </si>
  <si>
    <t>DỰ TOÁN NĂM 2025</t>
  </si>
  <si>
    <t>ƯỚC THỰC HIỆN THU NGÂN SÁCH XÃ NĂM 2025</t>
  </si>
  <si>
    <t>Đơn vị: Nghìn đồng</t>
  </si>
  <si>
    <t>- Thu cấp quyền khai thác khoáng sản</t>
  </si>
  <si>
    <t>Chi chuyển nguồn sang năm 2026</t>
  </si>
  <si>
    <t>Chi chuyển nguồn ngân sách sang năm sau</t>
  </si>
  <si>
    <t>Thu kết dư ngân sách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</si>
</sst>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-;\-* #,##0.00_-;_-* &quot;-&quot;??_-;_-@_-"/>
    <numFmt numFmtId="165" formatCode="_-* #,##0_-;\-* #,##0_-;_-* &quot;-&quot;??_-;_-@_-"/>
    <numFmt numFmtId="166" formatCode="#,##0;[Red]#,##0"/>
    <numFmt numFmtId="167" formatCode="#,##0.00;[Red]#,##0.00"/>
    <numFmt numFmtId="168" formatCode="#,###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222222"/>
      <name val="Times New Roman"/>
      <family val="1"/>
      <charset val="163"/>
    </font>
    <font>
      <b/>
      <sz val="12"/>
      <color rgb="FF222222"/>
      <name val="Times New Roman"/>
      <family val="1"/>
      <charset val="163"/>
    </font>
    <font>
      <sz val="12"/>
      <color theme="1"/>
      <name val="Times New Roman"/>
      <family val="1"/>
      <charset val="163"/>
    </font>
    <font>
      <b/>
      <sz val="12"/>
      <color rgb="FF000000"/>
      <name val="Times New Roman"/>
      <family val="1"/>
      <charset val="163"/>
    </font>
    <font>
      <i/>
      <sz val="12"/>
      <color rgb="FF00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name val="Times New Roman"/>
      <family val="1"/>
    </font>
    <font>
      <i/>
      <sz val="12"/>
      <color theme="1"/>
      <name val="Times New Roman"/>
      <family val="1"/>
      <charset val="163"/>
    </font>
    <font>
      <i/>
      <sz val="12"/>
      <color rgb="FF222222"/>
      <name val="Times New Roman"/>
      <family val="1"/>
      <charset val="163"/>
    </font>
    <font>
      <sz val="13"/>
      <color theme="1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165" fontId="8" fillId="0" borderId="1" xfId="1" applyNumberFormat="1" applyFont="1" applyFill="1" applyBorder="1"/>
    <xf numFmtId="165" fontId="2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/>
    <xf numFmtId="166" fontId="4" fillId="0" borderId="0" xfId="0" applyNumberFormat="1" applyFont="1"/>
    <xf numFmtId="166" fontId="7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167" fontId="7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167" fontId="4" fillId="0" borderId="0" xfId="0" applyNumberFormat="1" applyFont="1"/>
    <xf numFmtId="49" fontId="8" fillId="0" borderId="1" xfId="0" applyNumberFormat="1" applyFont="1" applyBorder="1" applyAlignment="1">
      <alignment vertical="center" wrapText="1"/>
    </xf>
    <xf numFmtId="165" fontId="8" fillId="2" borderId="1" xfId="1" applyNumberFormat="1" applyFont="1" applyFill="1" applyBorder="1"/>
    <xf numFmtId="167" fontId="2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left" vertical="center" wrapText="1"/>
    </xf>
    <xf numFmtId="166" fontId="4" fillId="0" borderId="0" xfId="0" applyNumberFormat="1" applyFont="1" applyAlignment="1">
      <alignment horizontal="right"/>
    </xf>
    <xf numFmtId="166" fontId="4" fillId="0" borderId="1" xfId="0" applyNumberFormat="1" applyFont="1" applyBorder="1" applyAlignment="1">
      <alignment horizontal="right" vertical="center" wrapText="1"/>
    </xf>
    <xf numFmtId="166" fontId="2" fillId="0" borderId="1" xfId="0" applyNumberFormat="1" applyFont="1" applyBorder="1" applyAlignment="1">
      <alignment horizontal="right" vertical="center" wrapText="1"/>
    </xf>
    <xf numFmtId="166" fontId="10" fillId="0" borderId="1" xfId="0" applyNumberFormat="1" applyFont="1" applyBorder="1" applyAlignment="1">
      <alignment horizontal="right" vertical="center" wrapText="1"/>
    </xf>
    <xf numFmtId="166" fontId="3" fillId="0" borderId="1" xfId="0" applyNumberFormat="1" applyFont="1" applyBorder="1" applyAlignment="1">
      <alignment horizontal="right" vertical="center" wrapText="1"/>
    </xf>
    <xf numFmtId="166" fontId="7" fillId="0" borderId="0" xfId="0" applyNumberFormat="1" applyFont="1"/>
    <xf numFmtId="2" fontId="3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5" fontId="8" fillId="0" borderId="1" xfId="1" applyNumberFormat="1" applyFont="1" applyBorder="1"/>
    <xf numFmtId="0" fontId="6" fillId="0" borderId="0" xfId="0" applyFont="1" applyBorder="1" applyAlignment="1">
      <alignment vertical="center" wrapText="1"/>
    </xf>
    <xf numFmtId="166" fontId="4" fillId="0" borderId="1" xfId="0" applyNumberFormat="1" applyFont="1" applyBorder="1" applyAlignment="1">
      <alignment horizontal="right"/>
    </xf>
    <xf numFmtId="0" fontId="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vertical="center" wrapText="1"/>
    </xf>
    <xf numFmtId="0" fontId="6" fillId="0" borderId="0" xfId="0" applyFont="1" applyAlignment="1">
      <alignment vertical="center"/>
    </xf>
    <xf numFmtId="165" fontId="3" fillId="0" borderId="1" xfId="0" applyNumberFormat="1" applyFont="1" applyBorder="1" applyAlignment="1">
      <alignment horizontal="right" wrapText="1"/>
    </xf>
    <xf numFmtId="167" fontId="3" fillId="0" borderId="1" xfId="0" applyNumberFormat="1" applyFont="1" applyBorder="1" applyAlignment="1">
      <alignment horizontal="center" wrapText="1"/>
    </xf>
    <xf numFmtId="168" fontId="4" fillId="0" borderId="1" xfId="0" applyNumberFormat="1" applyFont="1" applyBorder="1" applyAlignment="1">
      <alignment horizontal="right" vertical="center" wrapText="1"/>
    </xf>
    <xf numFmtId="166" fontId="2" fillId="0" borderId="1" xfId="0" applyNumberFormat="1" applyFont="1" applyBorder="1" applyAlignment="1">
      <alignment horizontal="right" wrapText="1"/>
    </xf>
    <xf numFmtId="168" fontId="4" fillId="0" borderId="1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166" fontId="3" fillId="0" borderId="1" xfId="0" applyNumberFormat="1" applyFont="1" applyBorder="1" applyAlignment="1">
      <alignment horizontal="right" wrapText="1"/>
    </xf>
    <xf numFmtId="165" fontId="8" fillId="0" borderId="1" xfId="1" applyNumberFormat="1" applyFont="1" applyFill="1" applyBorder="1" applyAlignment="1">
      <alignment horizontal="right"/>
    </xf>
    <xf numFmtId="165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2" fontId="3" fillId="0" borderId="1" xfId="0" applyNumberFormat="1" applyFont="1" applyBorder="1" applyAlignment="1">
      <alignment horizontal="center" wrapText="1"/>
    </xf>
    <xf numFmtId="168" fontId="11" fillId="0" borderId="1" xfId="0" applyNumberFormat="1" applyFont="1" applyBorder="1" applyAlignment="1">
      <alignment horizontal="right" wrapText="1"/>
    </xf>
    <xf numFmtId="166" fontId="8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165" fontId="4" fillId="0" borderId="0" xfId="0" applyNumberFormat="1" applyFont="1"/>
    <xf numFmtId="165" fontId="2" fillId="0" borderId="1" xfId="1" applyNumberFormat="1" applyFont="1" applyBorder="1" applyAlignment="1">
      <alignment horizontal="right" wrapText="1"/>
    </xf>
    <xf numFmtId="165" fontId="2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6" fontId="7" fillId="0" borderId="3" xfId="0" applyNumberFormat="1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166" fontId="7" fillId="0" borderId="4" xfId="0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topLeftCell="A10" workbookViewId="0">
      <selection activeCell="E20" sqref="E20"/>
    </sheetView>
  </sheetViews>
  <sheetFormatPr defaultColWidth="9.08984375" defaultRowHeight="15.5" x14ac:dyDescent="0.35"/>
  <cols>
    <col min="1" max="1" width="8.36328125" style="2" customWidth="1"/>
    <col min="2" max="2" width="34.54296875" style="2" customWidth="1"/>
    <col min="3" max="3" width="17.54296875" style="24" customWidth="1"/>
    <col min="4" max="4" width="18.36328125" style="24" customWidth="1"/>
    <col min="5" max="5" width="12.453125" style="7" customWidth="1"/>
    <col min="6" max="16384" width="9.08984375" style="2"/>
  </cols>
  <sheetData>
    <row r="1" spans="1:12" ht="25.5" customHeight="1" x14ac:dyDescent="0.35">
      <c r="A1" s="61" t="s">
        <v>81</v>
      </c>
      <c r="B1" s="61"/>
      <c r="D1" s="60" t="s">
        <v>0</v>
      </c>
      <c r="E1" s="60"/>
    </row>
    <row r="2" spans="1:12" x14ac:dyDescent="0.35">
      <c r="A2" s="59" t="s">
        <v>82</v>
      </c>
      <c r="B2" s="59"/>
      <c r="C2" s="59"/>
      <c r="D2" s="59"/>
      <c r="E2" s="59"/>
    </row>
    <row r="3" spans="1:12" x14ac:dyDescent="0.35">
      <c r="A3" s="63" t="s">
        <v>83</v>
      </c>
      <c r="B3" s="63"/>
      <c r="C3" s="63"/>
      <c r="D3" s="63"/>
      <c r="E3" s="63"/>
      <c r="F3" s="39"/>
      <c r="G3" s="39"/>
      <c r="H3" s="39"/>
      <c r="K3" s="13"/>
      <c r="L3" s="13"/>
    </row>
    <row r="4" spans="1:12" x14ac:dyDescent="0.35">
      <c r="D4" s="62" t="s">
        <v>76</v>
      </c>
      <c r="E4" s="62"/>
    </row>
    <row r="5" spans="1:12" ht="69" customHeight="1" x14ac:dyDescent="0.35">
      <c r="A5" s="3" t="s">
        <v>1</v>
      </c>
      <c r="B5" s="3" t="s">
        <v>2</v>
      </c>
      <c r="C5" s="14" t="s">
        <v>3</v>
      </c>
      <c r="D5" s="14" t="s">
        <v>78</v>
      </c>
      <c r="E5" s="3" t="s">
        <v>4</v>
      </c>
    </row>
    <row r="6" spans="1:12" x14ac:dyDescent="0.35">
      <c r="A6" s="4" t="s">
        <v>5</v>
      </c>
      <c r="B6" s="4" t="s">
        <v>6</v>
      </c>
      <c r="C6" s="25">
        <v>1</v>
      </c>
      <c r="D6" s="25">
        <v>2</v>
      </c>
      <c r="E6" s="4" t="s">
        <v>7</v>
      </c>
    </row>
    <row r="7" spans="1:12" s="12" customFormat="1" ht="26.25" customHeight="1" x14ac:dyDescent="0.3">
      <c r="A7" s="3" t="s">
        <v>8</v>
      </c>
      <c r="B7" s="3" t="s">
        <v>9</v>
      </c>
      <c r="C7" s="28">
        <f>C8+C9+C10+C13+C14-1000</f>
        <v>238889000</v>
      </c>
      <c r="D7" s="28">
        <f>D8+D9+D10+D13+D14</f>
        <v>343570000</v>
      </c>
      <c r="E7" s="30">
        <f>D7/C7*100</f>
        <v>143.81993310700784</v>
      </c>
    </row>
    <row r="8" spans="1:12" ht="26.25" customHeight="1" x14ac:dyDescent="0.35">
      <c r="A8" s="4">
        <v>1</v>
      </c>
      <c r="B8" s="6" t="s">
        <v>10</v>
      </c>
      <c r="C8" s="26">
        <f>'114'!D10</f>
        <v>1047000</v>
      </c>
      <c r="D8" s="26">
        <f>'114'!F10</f>
        <v>756000</v>
      </c>
      <c r="E8" s="30">
        <f t="shared" ref="E8:E18" si="0">D8/C8*100</f>
        <v>72.206303724928361</v>
      </c>
    </row>
    <row r="9" spans="1:12" ht="26.25" customHeight="1" x14ac:dyDescent="0.35">
      <c r="A9" s="4">
        <v>2</v>
      </c>
      <c r="B9" s="6" t="s">
        <v>11</v>
      </c>
      <c r="C9" s="43">
        <f>'114'!D19</f>
        <v>5613000</v>
      </c>
      <c r="D9" s="43">
        <f>'114'!F19</f>
        <v>12395000</v>
      </c>
      <c r="E9" s="52">
        <f t="shared" si="0"/>
        <v>220.82665241403885</v>
      </c>
    </row>
    <row r="10" spans="1:12" ht="26.25" customHeight="1" x14ac:dyDescent="0.35">
      <c r="A10" s="4">
        <v>3</v>
      </c>
      <c r="B10" s="6" t="s">
        <v>12</v>
      </c>
      <c r="C10" s="26">
        <f>C11+C12</f>
        <v>228644000</v>
      </c>
      <c r="D10" s="26">
        <f>D11+D12</f>
        <v>304859000</v>
      </c>
      <c r="E10" s="30">
        <f t="shared" si="0"/>
        <v>133.33347912037928</v>
      </c>
    </row>
    <row r="11" spans="1:12" ht="26.25" customHeight="1" x14ac:dyDescent="0.35">
      <c r="A11" s="1"/>
      <c r="B11" s="23" t="s">
        <v>13</v>
      </c>
      <c r="C11" s="27">
        <f>'114'!D34</f>
        <v>27850000</v>
      </c>
      <c r="D11" s="27">
        <f>'114'!F34</f>
        <v>27850000</v>
      </c>
      <c r="E11" s="30">
        <f t="shared" si="0"/>
        <v>100</v>
      </c>
    </row>
    <row r="12" spans="1:12" ht="26.25" customHeight="1" x14ac:dyDescent="0.35">
      <c r="A12" s="1"/>
      <c r="B12" s="23" t="s">
        <v>14</v>
      </c>
      <c r="C12" s="27">
        <f>'114'!D35</f>
        <v>200794000</v>
      </c>
      <c r="D12" s="27">
        <f>'114'!F35</f>
        <v>277009000</v>
      </c>
      <c r="E12" s="30">
        <f t="shared" si="0"/>
        <v>137.95681145850972</v>
      </c>
    </row>
    <row r="13" spans="1:12" ht="26.25" customHeight="1" x14ac:dyDescent="0.35">
      <c r="A13" s="4">
        <v>4</v>
      </c>
      <c r="B13" s="6" t="s">
        <v>15</v>
      </c>
      <c r="C13" s="26">
        <f>'114'!D31</f>
        <v>3586000</v>
      </c>
      <c r="D13" s="26">
        <f>'114'!F31</f>
        <v>19211000</v>
      </c>
      <c r="E13" s="30">
        <f t="shared" si="0"/>
        <v>535.72225320691575</v>
      </c>
    </row>
    <row r="14" spans="1:12" ht="26.25" customHeight="1" x14ac:dyDescent="0.35">
      <c r="A14" s="4">
        <v>5</v>
      </c>
      <c r="B14" s="6" t="s">
        <v>90</v>
      </c>
      <c r="C14" s="26"/>
      <c r="D14" s="26">
        <f>'114'!F32</f>
        <v>6349000</v>
      </c>
      <c r="E14" s="30"/>
    </row>
    <row r="15" spans="1:12" s="12" customFormat="1" ht="26.25" customHeight="1" x14ac:dyDescent="0.3">
      <c r="A15" s="3" t="s">
        <v>16</v>
      </c>
      <c r="B15" s="3" t="s">
        <v>17</v>
      </c>
      <c r="C15" s="28">
        <f>SUM(C16:C20)</f>
        <v>238889000</v>
      </c>
      <c r="D15" s="28">
        <f>SUM(D16:D20)</f>
        <v>343570000</v>
      </c>
      <c r="E15" s="30">
        <f t="shared" si="0"/>
        <v>143.81993310700784</v>
      </c>
    </row>
    <row r="16" spans="1:12" ht="26.25" customHeight="1" x14ac:dyDescent="0.35">
      <c r="A16" s="4">
        <v>1</v>
      </c>
      <c r="B16" s="6" t="s">
        <v>18</v>
      </c>
      <c r="C16" s="26">
        <f>'115'!D8</f>
        <v>1815000</v>
      </c>
      <c r="D16" s="26">
        <f>'115'!G8</f>
        <v>12650000</v>
      </c>
      <c r="E16" s="30">
        <f t="shared" si="0"/>
        <v>696.969696969697</v>
      </c>
    </row>
    <row r="17" spans="1:5" ht="26.25" customHeight="1" x14ac:dyDescent="0.35">
      <c r="A17" s="4">
        <v>2</v>
      </c>
      <c r="B17" s="6" t="s">
        <v>19</v>
      </c>
      <c r="C17" s="26">
        <f>'115'!E8-C18</f>
        <v>232289000</v>
      </c>
      <c r="D17" s="26">
        <f>'115'!H8-D19-D18-D20</f>
        <v>312909000</v>
      </c>
      <c r="E17" s="30">
        <f t="shared" si="0"/>
        <v>134.70676614045433</v>
      </c>
    </row>
    <row r="18" spans="1:5" ht="26.25" customHeight="1" x14ac:dyDescent="0.35">
      <c r="A18" s="4">
        <v>3</v>
      </c>
      <c r="B18" s="6" t="s">
        <v>20</v>
      </c>
      <c r="C18" s="26">
        <f>'115'!E21</f>
        <v>4785000</v>
      </c>
      <c r="D18" s="26">
        <f>'115'!H21</f>
        <v>4785000</v>
      </c>
      <c r="E18" s="30">
        <f t="shared" si="0"/>
        <v>100</v>
      </c>
    </row>
    <row r="19" spans="1:5" ht="26.25" customHeight="1" x14ac:dyDescent="0.35">
      <c r="A19" s="47">
        <v>4</v>
      </c>
      <c r="B19" s="16" t="str">
        <f>'115'!B22</f>
        <v>Chi nộp ngân sách cấp trên</v>
      </c>
      <c r="C19" s="35"/>
      <c r="D19" s="26">
        <f>'115'!H22</f>
        <v>3762000</v>
      </c>
      <c r="E19" s="47"/>
    </row>
    <row r="20" spans="1:5" ht="31" x14ac:dyDescent="0.35">
      <c r="A20" s="47">
        <v>5</v>
      </c>
      <c r="B20" s="55" t="s">
        <v>89</v>
      </c>
      <c r="C20" s="35"/>
      <c r="D20" s="35">
        <f>'115'!H23</f>
        <v>9464000</v>
      </c>
      <c r="E20" s="47"/>
    </row>
  </sheetData>
  <mergeCells count="5">
    <mergeCell ref="A2:E2"/>
    <mergeCell ref="D1:E1"/>
    <mergeCell ref="A1:B1"/>
    <mergeCell ref="D4:E4"/>
    <mergeCell ref="A3:E3"/>
  </mergeCells>
  <pageMargins left="0.7" right="0.7" top="0.75" bottom="0.75" header="0.3" footer="0.3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9" zoomScale="85" zoomScaleNormal="85" workbookViewId="0">
      <selection activeCell="F29" sqref="F29"/>
    </sheetView>
  </sheetViews>
  <sheetFormatPr defaultColWidth="9.08984375" defaultRowHeight="15.5" x14ac:dyDescent="0.35"/>
  <cols>
    <col min="1" max="1" width="8.453125" style="2" customWidth="1"/>
    <col min="2" max="2" width="35.36328125" style="2" customWidth="1"/>
    <col min="3" max="3" width="18" style="2" customWidth="1"/>
    <col min="4" max="4" width="16.90625" style="2" customWidth="1"/>
    <col min="5" max="5" width="18" style="13" customWidth="1"/>
    <col min="6" max="6" width="17" style="13" customWidth="1"/>
    <col min="7" max="7" width="10.36328125" style="19" customWidth="1"/>
    <col min="8" max="8" width="12" style="19" customWidth="1"/>
    <col min="9" max="10" width="9.08984375" style="2"/>
    <col min="11" max="11" width="14.36328125" style="13" bestFit="1" customWidth="1"/>
    <col min="12" max="12" width="9.08984375" style="13"/>
    <col min="13" max="16384" width="9.08984375" style="2"/>
  </cols>
  <sheetData>
    <row r="1" spans="1:12" ht="38.25" customHeight="1" x14ac:dyDescent="0.35">
      <c r="A1" s="61" t="s">
        <v>81</v>
      </c>
      <c r="B1" s="61"/>
      <c r="F1" s="60" t="s">
        <v>21</v>
      </c>
      <c r="G1" s="60"/>
      <c r="H1" s="60"/>
    </row>
    <row r="2" spans="1:12" x14ac:dyDescent="0.35">
      <c r="A2" s="59" t="s">
        <v>85</v>
      </c>
      <c r="B2" s="59"/>
      <c r="C2" s="59"/>
      <c r="D2" s="59"/>
      <c r="E2" s="59"/>
      <c r="F2" s="59"/>
      <c r="G2" s="59"/>
      <c r="H2" s="59"/>
    </row>
    <row r="3" spans="1:12" x14ac:dyDescent="0.35">
      <c r="A3" s="63" t="str">
        <f>'113'!A3:E3</f>
        <v>(Kèm theo Quyết định số      /QĐ-UBND ngày 20 tháng 12 năm 2025)</v>
      </c>
      <c r="B3" s="63"/>
      <c r="C3" s="63"/>
      <c r="D3" s="63"/>
      <c r="E3" s="63"/>
      <c r="F3" s="63"/>
      <c r="G3" s="63"/>
      <c r="H3" s="63"/>
    </row>
    <row r="4" spans="1:12" x14ac:dyDescent="0.35">
      <c r="A4" s="32"/>
      <c r="B4" s="32"/>
      <c r="C4" s="32"/>
      <c r="D4" s="32"/>
      <c r="E4" s="32"/>
      <c r="F4" s="32"/>
      <c r="G4" s="32"/>
      <c r="H4" s="32"/>
    </row>
    <row r="5" spans="1:12" x14ac:dyDescent="0.35">
      <c r="E5" s="62" t="s">
        <v>86</v>
      </c>
      <c r="F5" s="62"/>
      <c r="G5" s="62"/>
      <c r="H5" s="62"/>
    </row>
    <row r="6" spans="1:12" ht="61.5" customHeight="1" x14ac:dyDescent="0.35">
      <c r="A6" s="64" t="s">
        <v>1</v>
      </c>
      <c r="B6" s="64" t="s">
        <v>2</v>
      </c>
      <c r="C6" s="64" t="s">
        <v>84</v>
      </c>
      <c r="D6" s="64"/>
      <c r="E6" s="65" t="s">
        <v>79</v>
      </c>
      <c r="F6" s="65"/>
      <c r="G6" s="66" t="s">
        <v>22</v>
      </c>
      <c r="H6" s="66"/>
    </row>
    <row r="7" spans="1:12" ht="30" x14ac:dyDescent="0.35">
      <c r="A7" s="64"/>
      <c r="B7" s="64"/>
      <c r="C7" s="3" t="s">
        <v>23</v>
      </c>
      <c r="D7" s="3" t="s">
        <v>24</v>
      </c>
      <c r="E7" s="14" t="s">
        <v>23</v>
      </c>
      <c r="F7" s="14" t="s">
        <v>24</v>
      </c>
      <c r="G7" s="17" t="s">
        <v>23</v>
      </c>
      <c r="H7" s="17" t="s">
        <v>24</v>
      </c>
    </row>
    <row r="8" spans="1:12" x14ac:dyDescent="0.35">
      <c r="A8" s="4" t="s">
        <v>5</v>
      </c>
      <c r="B8" s="4" t="s">
        <v>6</v>
      </c>
      <c r="C8" s="4">
        <v>1</v>
      </c>
      <c r="D8" s="4">
        <v>2</v>
      </c>
      <c r="E8" s="15">
        <v>3</v>
      </c>
      <c r="F8" s="15">
        <v>4</v>
      </c>
      <c r="G8" s="18" t="s">
        <v>25</v>
      </c>
      <c r="H8" s="18" t="s">
        <v>26</v>
      </c>
    </row>
    <row r="9" spans="1:12" s="12" customFormat="1" ht="15" x14ac:dyDescent="0.3">
      <c r="A9" s="11"/>
      <c r="B9" s="3" t="s">
        <v>27</v>
      </c>
      <c r="C9" s="40">
        <f>C10+C19+C30+C31+C32+C33</f>
        <v>256690000</v>
      </c>
      <c r="D9" s="40">
        <f>D10+D19+D30+D31+D32+D33-1000</f>
        <v>238889000</v>
      </c>
      <c r="E9" s="40">
        <f>E10+E19+E30+E31+E32+E33</f>
        <v>383655000</v>
      </c>
      <c r="F9" s="40">
        <f>F10+F19+F30+F31+F32+F33</f>
        <v>343570000</v>
      </c>
      <c r="G9" s="41">
        <f t="shared" ref="G9:H11" si="0">E9/C9*100</f>
        <v>149.4623865362889</v>
      </c>
      <c r="H9" s="41">
        <f t="shared" si="0"/>
        <v>143.81993310700784</v>
      </c>
      <c r="K9" s="29"/>
      <c r="L9" s="29"/>
    </row>
    <row r="10" spans="1:12" s="12" customFormat="1" ht="15" x14ac:dyDescent="0.3">
      <c r="A10" s="3" t="s">
        <v>8</v>
      </c>
      <c r="B10" s="5" t="s">
        <v>28</v>
      </c>
      <c r="C10" s="40">
        <f>SUM(C11:C18)</f>
        <v>1147000</v>
      </c>
      <c r="D10" s="40">
        <f t="shared" ref="D10:F10" si="1">SUM(D11:D18)</f>
        <v>1047000</v>
      </c>
      <c r="E10" s="48">
        <f t="shared" si="1"/>
        <v>885000</v>
      </c>
      <c r="F10" s="48">
        <f t="shared" si="1"/>
        <v>756000</v>
      </c>
      <c r="G10" s="41">
        <f t="shared" si="0"/>
        <v>77.157802964254572</v>
      </c>
      <c r="H10" s="41">
        <f t="shared" si="0"/>
        <v>72.206303724928361</v>
      </c>
      <c r="K10" s="29"/>
      <c r="L10" s="29"/>
    </row>
    <row r="11" spans="1:12" x14ac:dyDescent="0.35">
      <c r="A11" s="1">
        <v>1</v>
      </c>
      <c r="B11" s="6" t="s">
        <v>29</v>
      </c>
      <c r="C11" s="8">
        <v>667000</v>
      </c>
      <c r="D11" s="8">
        <f>167000*100%+500000*80%</f>
        <v>567000</v>
      </c>
      <c r="E11" s="43">
        <f>1051000-355000</f>
        <v>696000</v>
      </c>
      <c r="F11" s="43">
        <f>922000-355000</f>
        <v>567000</v>
      </c>
      <c r="G11" s="22">
        <f t="shared" si="0"/>
        <v>104.34782608695652</v>
      </c>
      <c r="H11" s="22">
        <f t="shared" si="0"/>
        <v>100</v>
      </c>
    </row>
    <row r="12" spans="1:12" ht="31.5" customHeight="1" x14ac:dyDescent="0.35">
      <c r="A12" s="1">
        <v>2</v>
      </c>
      <c r="B12" s="6" t="s">
        <v>30</v>
      </c>
      <c r="C12" s="8">
        <v>400000</v>
      </c>
      <c r="D12" s="8">
        <f>C12*100%</f>
        <v>400000</v>
      </c>
      <c r="E12" s="43">
        <v>59000</v>
      </c>
      <c r="F12" s="43">
        <v>59000</v>
      </c>
      <c r="G12" s="22">
        <f t="shared" ref="G12:G18" si="2">E12/C12*100</f>
        <v>14.75</v>
      </c>
      <c r="H12" s="22">
        <f t="shared" ref="H12:H18" si="3">F12/D12*100</f>
        <v>14.75</v>
      </c>
    </row>
    <row r="13" spans="1:12" x14ac:dyDescent="0.35">
      <c r="A13" s="1">
        <v>3</v>
      </c>
      <c r="B13" s="6" t="s">
        <v>31</v>
      </c>
      <c r="C13" s="49">
        <v>0</v>
      </c>
      <c r="D13" s="49">
        <v>0</v>
      </c>
      <c r="E13" s="49">
        <v>0</v>
      </c>
      <c r="F13" s="49">
        <v>0</v>
      </c>
      <c r="G13" s="22"/>
      <c r="H13" s="22"/>
    </row>
    <row r="14" spans="1:12" x14ac:dyDescent="0.35">
      <c r="A14" s="1">
        <v>4</v>
      </c>
      <c r="B14" s="6" t="s">
        <v>32</v>
      </c>
      <c r="C14" s="49">
        <v>0</v>
      </c>
      <c r="D14" s="49">
        <v>0</v>
      </c>
      <c r="E14" s="49">
        <v>0</v>
      </c>
      <c r="F14" s="49">
        <v>0</v>
      </c>
      <c r="G14" s="22"/>
      <c r="H14" s="22"/>
    </row>
    <row r="15" spans="1:12" ht="31" x14ac:dyDescent="0.35">
      <c r="A15" s="1">
        <v>5</v>
      </c>
      <c r="B15" s="6" t="s">
        <v>33</v>
      </c>
      <c r="C15" s="49">
        <v>0</v>
      </c>
      <c r="D15" s="49">
        <v>0</v>
      </c>
      <c r="E15" s="49">
        <v>0</v>
      </c>
      <c r="F15" s="49">
        <v>0</v>
      </c>
      <c r="G15" s="22"/>
      <c r="H15" s="22"/>
    </row>
    <row r="16" spans="1:12" x14ac:dyDescent="0.35">
      <c r="A16" s="1">
        <v>6</v>
      </c>
      <c r="B16" s="6" t="s">
        <v>34</v>
      </c>
      <c r="C16" s="49">
        <v>0</v>
      </c>
      <c r="D16" s="49">
        <v>0</v>
      </c>
      <c r="E16" s="49">
        <v>0</v>
      </c>
      <c r="F16" s="49">
        <v>0</v>
      </c>
      <c r="G16" s="22"/>
      <c r="H16" s="22"/>
    </row>
    <row r="17" spans="1:12" ht="31" x14ac:dyDescent="0.35">
      <c r="A17" s="1">
        <v>7</v>
      </c>
      <c r="B17" s="6" t="s">
        <v>35</v>
      </c>
      <c r="C17" s="49">
        <v>0</v>
      </c>
      <c r="D17" s="49">
        <v>0</v>
      </c>
      <c r="E17" s="49">
        <v>0</v>
      </c>
      <c r="F17" s="49">
        <v>0</v>
      </c>
      <c r="G17" s="22"/>
      <c r="H17" s="22"/>
    </row>
    <row r="18" spans="1:12" x14ac:dyDescent="0.35">
      <c r="A18" s="1">
        <v>8</v>
      </c>
      <c r="B18" s="6" t="s">
        <v>36</v>
      </c>
      <c r="C18" s="8">
        <v>80000</v>
      </c>
      <c r="D18" s="8">
        <f>C18*100%</f>
        <v>80000</v>
      </c>
      <c r="E18" s="43">
        <v>130000</v>
      </c>
      <c r="F18" s="43">
        <f>E18</f>
        <v>130000</v>
      </c>
      <c r="G18" s="22">
        <f t="shared" si="2"/>
        <v>162.5</v>
      </c>
      <c r="H18" s="22">
        <f t="shared" si="3"/>
        <v>162.5</v>
      </c>
    </row>
    <row r="19" spans="1:12" s="12" customFormat="1" ht="30" x14ac:dyDescent="0.3">
      <c r="A19" s="3" t="s">
        <v>16</v>
      </c>
      <c r="B19" s="5" t="s">
        <v>37</v>
      </c>
      <c r="C19" s="40">
        <f>C20+C25</f>
        <v>23313000</v>
      </c>
      <c r="D19" s="40">
        <f t="shared" ref="D19:F19" si="4">D20+D25</f>
        <v>5613000</v>
      </c>
      <c r="E19" s="40">
        <f t="shared" si="4"/>
        <v>52351000</v>
      </c>
      <c r="F19" s="40">
        <f t="shared" si="4"/>
        <v>12395000</v>
      </c>
      <c r="G19" s="41">
        <f t="shared" ref="G19:G25" si="5">E19/C19*100</f>
        <v>224.557114056535</v>
      </c>
      <c r="H19" s="41">
        <f t="shared" ref="H19:H25" si="6">F19/D19*100</f>
        <v>220.82665241403885</v>
      </c>
      <c r="K19" s="29"/>
      <c r="L19" s="29"/>
    </row>
    <row r="20" spans="1:12" x14ac:dyDescent="0.35">
      <c r="A20" s="4">
        <v>1</v>
      </c>
      <c r="B20" s="6" t="s">
        <v>38</v>
      </c>
      <c r="C20" s="50">
        <f>SUM(C21:C24)</f>
        <v>1780000</v>
      </c>
      <c r="D20" s="50">
        <f t="shared" ref="D20:F20" si="7">SUM(D21:D24)</f>
        <v>1365000</v>
      </c>
      <c r="E20" s="50">
        <f t="shared" si="7"/>
        <v>3165000</v>
      </c>
      <c r="F20" s="50">
        <f t="shared" si="7"/>
        <v>2016000</v>
      </c>
      <c r="G20" s="22">
        <f t="shared" si="5"/>
        <v>177.80898876404493</v>
      </c>
      <c r="H20" s="22">
        <f t="shared" si="6"/>
        <v>147.69230769230771</v>
      </c>
    </row>
    <row r="21" spans="1:12" x14ac:dyDescent="0.35">
      <c r="A21" s="1"/>
      <c r="B21" s="6" t="s">
        <v>39</v>
      </c>
      <c r="C21" s="8">
        <v>640000</v>
      </c>
      <c r="D21" s="8">
        <f>C21*1</f>
        <v>640000</v>
      </c>
      <c r="E21" s="54">
        <v>512000</v>
      </c>
      <c r="F21" s="54">
        <f>E21</f>
        <v>512000</v>
      </c>
      <c r="G21" s="22">
        <f t="shared" si="5"/>
        <v>80</v>
      </c>
      <c r="H21" s="22">
        <f t="shared" si="6"/>
        <v>80</v>
      </c>
    </row>
    <row r="22" spans="1:12" ht="31" x14ac:dyDescent="0.35">
      <c r="A22" s="1"/>
      <c r="B22" s="6" t="s">
        <v>40</v>
      </c>
      <c r="C22" s="49">
        <v>0</v>
      </c>
      <c r="D22" s="49">
        <v>0</v>
      </c>
      <c r="E22" s="43">
        <v>0</v>
      </c>
      <c r="F22" s="43">
        <v>0</v>
      </c>
      <c r="G22" s="22"/>
      <c r="H22" s="22"/>
    </row>
    <row r="23" spans="1:12" ht="31" x14ac:dyDescent="0.35">
      <c r="A23" s="1"/>
      <c r="B23" s="6" t="s">
        <v>41</v>
      </c>
      <c r="C23" s="8">
        <v>310000</v>
      </c>
      <c r="D23" s="8">
        <f>C23*1</f>
        <v>310000</v>
      </c>
      <c r="E23" s="43">
        <v>355000</v>
      </c>
      <c r="F23" s="43">
        <f>E23</f>
        <v>355000</v>
      </c>
      <c r="G23" s="22">
        <f t="shared" si="5"/>
        <v>114.51612903225808</v>
      </c>
      <c r="H23" s="22">
        <f t="shared" si="6"/>
        <v>114.51612903225808</v>
      </c>
    </row>
    <row r="24" spans="1:12" x14ac:dyDescent="0.35">
      <c r="A24" s="1"/>
      <c r="B24" s="6" t="s">
        <v>42</v>
      </c>
      <c r="C24" s="8">
        <v>830000</v>
      </c>
      <c r="D24" s="8">
        <f>C24*0.5</f>
        <v>415000</v>
      </c>
      <c r="E24" s="42">
        <v>2298000</v>
      </c>
      <c r="F24" s="42">
        <f>E24/2</f>
        <v>1149000</v>
      </c>
      <c r="G24" s="22">
        <f t="shared" si="5"/>
        <v>276.86746987951807</v>
      </c>
      <c r="H24" s="22">
        <f t="shared" si="6"/>
        <v>276.86746987951807</v>
      </c>
    </row>
    <row r="25" spans="1:12" ht="31" x14ac:dyDescent="0.35">
      <c r="A25" s="4" t="s">
        <v>43</v>
      </c>
      <c r="B25" s="6" t="s">
        <v>44</v>
      </c>
      <c r="C25" s="50">
        <f>SUM(C26:C28)</f>
        <v>21533000</v>
      </c>
      <c r="D25" s="50">
        <f t="shared" ref="D25" si="8">SUM(D26:D28)</f>
        <v>4248000</v>
      </c>
      <c r="E25" s="50">
        <f>SUM(E26:E29)</f>
        <v>49186000</v>
      </c>
      <c r="F25" s="50">
        <f>SUM(F26:F29)</f>
        <v>10379000</v>
      </c>
      <c r="G25" s="22">
        <f t="shared" si="5"/>
        <v>228.42149259276459</v>
      </c>
      <c r="H25" s="22">
        <f t="shared" si="6"/>
        <v>244.32674199623352</v>
      </c>
    </row>
    <row r="26" spans="1:12" ht="31" x14ac:dyDescent="0.35">
      <c r="A26" s="1"/>
      <c r="B26" s="20" t="s">
        <v>73</v>
      </c>
      <c r="C26" s="8">
        <v>805000</v>
      </c>
      <c r="D26" s="8">
        <f>C26</f>
        <v>805000</v>
      </c>
      <c r="E26" s="53">
        <v>2063000</v>
      </c>
      <c r="F26" s="43">
        <f>E26</f>
        <v>2063000</v>
      </c>
      <c r="G26" s="22">
        <f t="shared" ref="G26:G35" si="9">E26/C26*100</f>
        <v>256.2732919254658</v>
      </c>
      <c r="H26" s="22">
        <f t="shared" ref="H26:H35" si="10">F26/D26*100</f>
        <v>256.2732919254658</v>
      </c>
    </row>
    <row r="27" spans="1:12" x14ac:dyDescent="0.35">
      <c r="A27" s="1"/>
      <c r="B27" s="20" t="s">
        <v>74</v>
      </c>
      <c r="C27" s="8">
        <v>2583000</v>
      </c>
      <c r="D27" s="8">
        <v>1628000</v>
      </c>
      <c r="E27" s="42">
        <v>7723000</v>
      </c>
      <c r="F27" s="44">
        <v>4368000</v>
      </c>
      <c r="G27" s="22">
        <f t="shared" si="9"/>
        <v>298.99341850561359</v>
      </c>
      <c r="H27" s="22">
        <f t="shared" si="10"/>
        <v>268.30466830466833</v>
      </c>
    </row>
    <row r="28" spans="1:12" x14ac:dyDescent="0.35">
      <c r="A28" s="1"/>
      <c r="B28" s="20" t="s">
        <v>75</v>
      </c>
      <c r="C28" s="21">
        <v>18145000</v>
      </c>
      <c r="D28" s="21">
        <f>C28*0.1+500</f>
        <v>1815000</v>
      </c>
      <c r="E28" s="42">
        <v>39345000</v>
      </c>
      <c r="F28" s="43">
        <v>3935000</v>
      </c>
      <c r="G28" s="22">
        <f t="shared" ref="G28" si="11">E28/C28*100</f>
        <v>216.8365941030587</v>
      </c>
      <c r="H28" s="22">
        <f t="shared" ref="H28" si="12">F28/D28*100</f>
        <v>216.80440771349859</v>
      </c>
    </row>
    <row r="29" spans="1:12" x14ac:dyDescent="0.35">
      <c r="A29" s="1"/>
      <c r="B29" s="20" t="s">
        <v>87</v>
      </c>
      <c r="C29" s="21"/>
      <c r="D29" s="21"/>
      <c r="E29" s="42">
        <v>55000</v>
      </c>
      <c r="F29" s="43">
        <v>13000</v>
      </c>
      <c r="G29" s="22"/>
      <c r="H29" s="22"/>
    </row>
    <row r="30" spans="1:12" ht="30" x14ac:dyDescent="0.35">
      <c r="A30" s="3" t="s">
        <v>45</v>
      </c>
      <c r="B30" s="5" t="s">
        <v>46</v>
      </c>
      <c r="C30" s="51"/>
      <c r="D30" s="51"/>
      <c r="E30" s="43">
        <v>0</v>
      </c>
      <c r="F30" s="43">
        <v>0</v>
      </c>
      <c r="G30" s="22"/>
      <c r="H30" s="22"/>
    </row>
    <row r="31" spans="1:12" x14ac:dyDescent="0.35">
      <c r="A31" s="3" t="s">
        <v>47</v>
      </c>
      <c r="B31" s="5" t="s">
        <v>15</v>
      </c>
      <c r="C31" s="57">
        <v>3586000</v>
      </c>
      <c r="D31" s="57">
        <v>3586000</v>
      </c>
      <c r="E31" s="43">
        <f>3586000+15625000</f>
        <v>19211000</v>
      </c>
      <c r="F31" s="43">
        <f>E31</f>
        <v>19211000</v>
      </c>
      <c r="G31" s="22">
        <f t="shared" ref="G31" si="13">E31/C31*100</f>
        <v>535.72225320691575</v>
      </c>
      <c r="H31" s="22">
        <f t="shared" ref="H31" si="14">F31/D31*100</f>
        <v>535.72225320691575</v>
      </c>
    </row>
    <row r="32" spans="1:12" x14ac:dyDescent="0.35">
      <c r="A32" s="3" t="s">
        <v>48</v>
      </c>
      <c r="B32" s="5" t="s">
        <v>49</v>
      </c>
      <c r="C32" s="51"/>
      <c r="D32" s="51"/>
      <c r="E32" s="43">
        <v>6349000</v>
      </c>
      <c r="F32" s="43">
        <v>6349000</v>
      </c>
      <c r="G32" s="22"/>
      <c r="H32" s="22"/>
    </row>
    <row r="33" spans="1:12" s="12" customFormat="1" ht="15" x14ac:dyDescent="0.3">
      <c r="A33" s="3" t="s">
        <v>50</v>
      </c>
      <c r="B33" s="5" t="s">
        <v>51</v>
      </c>
      <c r="C33" s="40">
        <f>SUM(C34:C35)</f>
        <v>228644000</v>
      </c>
      <c r="D33" s="40">
        <f t="shared" ref="D33:F33" si="15">SUM(D34:D35)</f>
        <v>228644000</v>
      </c>
      <c r="E33" s="40">
        <f t="shared" si="15"/>
        <v>304859000</v>
      </c>
      <c r="F33" s="40">
        <f t="shared" si="15"/>
        <v>304859000</v>
      </c>
      <c r="G33" s="41">
        <f t="shared" si="9"/>
        <v>133.33347912037928</v>
      </c>
      <c r="H33" s="41">
        <f t="shared" si="10"/>
        <v>133.33347912037928</v>
      </c>
      <c r="K33" s="29"/>
      <c r="L33" s="29"/>
    </row>
    <row r="34" spans="1:12" x14ac:dyDescent="0.35">
      <c r="A34" s="1">
        <v>1</v>
      </c>
      <c r="B34" s="6" t="s">
        <v>13</v>
      </c>
      <c r="C34" s="21">
        <v>27850000</v>
      </c>
      <c r="D34" s="21">
        <f>C34*1</f>
        <v>27850000</v>
      </c>
      <c r="E34" s="42">
        <f>D34</f>
        <v>27850000</v>
      </c>
      <c r="F34" s="43">
        <f>E34</f>
        <v>27850000</v>
      </c>
      <c r="G34" s="22">
        <f t="shared" si="9"/>
        <v>100</v>
      </c>
      <c r="H34" s="22">
        <f t="shared" si="10"/>
        <v>100</v>
      </c>
    </row>
    <row r="35" spans="1:12" x14ac:dyDescent="0.35">
      <c r="A35" s="1">
        <v>2</v>
      </c>
      <c r="B35" s="6" t="s">
        <v>14</v>
      </c>
      <c r="C35" s="21">
        <f>204380000-3586000</f>
        <v>200794000</v>
      </c>
      <c r="D35" s="21">
        <f>C35</f>
        <v>200794000</v>
      </c>
      <c r="E35" s="42">
        <v>277009000</v>
      </c>
      <c r="F35" s="43">
        <f>E35</f>
        <v>277009000</v>
      </c>
      <c r="G35" s="22">
        <f t="shared" si="9"/>
        <v>137.95681145850972</v>
      </c>
      <c r="H35" s="22">
        <f t="shared" si="10"/>
        <v>137.95681145850972</v>
      </c>
    </row>
    <row r="38" spans="1:12" x14ac:dyDescent="0.35">
      <c r="C38" s="56"/>
    </row>
  </sheetData>
  <mergeCells count="10">
    <mergeCell ref="A2:H2"/>
    <mergeCell ref="F1:H1"/>
    <mergeCell ref="A1:B1"/>
    <mergeCell ref="A3:H3"/>
    <mergeCell ref="E5:H5"/>
    <mergeCell ref="A6:A7"/>
    <mergeCell ref="B6:B7"/>
    <mergeCell ref="C6:D6"/>
    <mergeCell ref="E6:F6"/>
    <mergeCell ref="G6:H6"/>
  </mergeCells>
  <pageMargins left="0.7" right="0.7" top="0.75" bottom="0.75" header="0.3" footer="0.3"/>
  <pageSetup paperSize="9" scale="9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opLeftCell="A7" workbookViewId="0">
      <selection activeCell="J24" sqref="J24"/>
    </sheetView>
  </sheetViews>
  <sheetFormatPr defaultColWidth="9.08984375" defaultRowHeight="15.5" x14ac:dyDescent="0.35"/>
  <cols>
    <col min="1" max="1" width="6.54296875" style="2" customWidth="1"/>
    <col min="2" max="2" width="27" style="2" customWidth="1"/>
    <col min="3" max="3" width="15.08984375" style="2" customWidth="1"/>
    <col min="4" max="4" width="11.1796875" style="2" customWidth="1"/>
    <col min="5" max="5" width="15.1796875" style="2" customWidth="1"/>
    <col min="6" max="6" width="17.08984375" style="24" customWidth="1"/>
    <col min="7" max="7" width="15" style="24" customWidth="1"/>
    <col min="8" max="8" width="15.54296875" style="24" customWidth="1"/>
    <col min="9" max="9" width="9.08984375" style="2"/>
    <col min="10" max="10" width="10" style="2" customWidth="1"/>
    <col min="11" max="12" width="9.08984375" style="2"/>
    <col min="13" max="13" width="12.453125" style="2" bestFit="1" customWidth="1"/>
    <col min="14" max="16384" width="9.08984375" style="2"/>
  </cols>
  <sheetData>
    <row r="1" spans="1:13" ht="27" customHeight="1" x14ac:dyDescent="0.35">
      <c r="A1" s="60" t="s">
        <v>81</v>
      </c>
      <c r="B1" s="60"/>
      <c r="C1" s="60"/>
      <c r="H1" s="60" t="s">
        <v>52</v>
      </c>
      <c r="I1" s="60"/>
      <c r="J1" s="60"/>
      <c r="K1" s="60"/>
    </row>
    <row r="2" spans="1:13" x14ac:dyDescent="0.35">
      <c r="A2" s="59" t="s">
        <v>80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3" x14ac:dyDescent="0.35">
      <c r="A3" s="63" t="str">
        <f>'113'!A3:E3</f>
        <v>(Kèm theo Quyết định số      /QĐ-UBND ngày 20 tháng 12 năm 2025)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13"/>
    </row>
    <row r="4" spans="1:13" ht="15.75" customHeight="1" x14ac:dyDescent="0.35">
      <c r="I4" s="67" t="s">
        <v>86</v>
      </c>
      <c r="J4" s="67"/>
      <c r="K4" s="67"/>
      <c r="L4" s="34"/>
    </row>
    <row r="5" spans="1:13" ht="44.25" customHeight="1" x14ac:dyDescent="0.35">
      <c r="A5" s="64" t="s">
        <v>1</v>
      </c>
      <c r="B5" s="64" t="s">
        <v>2</v>
      </c>
      <c r="C5" s="64" t="s">
        <v>3</v>
      </c>
      <c r="D5" s="64"/>
      <c r="E5" s="64"/>
      <c r="F5" s="68" t="s">
        <v>79</v>
      </c>
      <c r="G5" s="69"/>
      <c r="H5" s="70"/>
      <c r="I5" s="64" t="s">
        <v>22</v>
      </c>
      <c r="J5" s="64"/>
      <c r="K5" s="64"/>
    </row>
    <row r="6" spans="1:13" ht="30" x14ac:dyDescent="0.35">
      <c r="A6" s="64"/>
      <c r="B6" s="64"/>
      <c r="C6" s="3" t="s">
        <v>53</v>
      </c>
      <c r="D6" s="3" t="s">
        <v>54</v>
      </c>
      <c r="E6" s="3" t="s">
        <v>55</v>
      </c>
      <c r="F6" s="14" t="s">
        <v>53</v>
      </c>
      <c r="G6" s="14" t="s">
        <v>54</v>
      </c>
      <c r="H6" s="14" t="s">
        <v>55</v>
      </c>
      <c r="I6" s="36" t="s">
        <v>53</v>
      </c>
      <c r="J6" s="3" t="s">
        <v>54</v>
      </c>
      <c r="K6" s="3" t="s">
        <v>55</v>
      </c>
    </row>
    <row r="7" spans="1:13" x14ac:dyDescent="0.35">
      <c r="A7" s="4" t="s">
        <v>5</v>
      </c>
      <c r="B7" s="4" t="s">
        <v>6</v>
      </c>
      <c r="C7" s="4">
        <v>1</v>
      </c>
      <c r="D7" s="4">
        <v>2</v>
      </c>
      <c r="E7" s="4">
        <v>3</v>
      </c>
      <c r="F7" s="15">
        <v>4</v>
      </c>
      <c r="G7" s="15">
        <v>5</v>
      </c>
      <c r="H7" s="15">
        <v>6</v>
      </c>
      <c r="I7" s="37" t="s">
        <v>56</v>
      </c>
      <c r="J7" s="4" t="s">
        <v>57</v>
      </c>
      <c r="K7" s="4" t="s">
        <v>58</v>
      </c>
    </row>
    <row r="8" spans="1:13" s="12" customFormat="1" ht="15" x14ac:dyDescent="0.3">
      <c r="A8" s="11"/>
      <c r="B8" s="3" t="s">
        <v>59</v>
      </c>
      <c r="C8" s="10">
        <f>C10+C11+C12+C13+C14+C15+C16+C17+C18+C19+C20+C21+C22+C23</f>
        <v>238889000</v>
      </c>
      <c r="D8" s="10">
        <f t="shared" ref="D8:G8" si="0">D10+D11+D12+D13+D14+D15+D16+D17+D18+D19+D20+D21+D22+D23</f>
        <v>1815000</v>
      </c>
      <c r="E8" s="10">
        <f t="shared" si="0"/>
        <v>237074000</v>
      </c>
      <c r="F8" s="10">
        <f t="shared" si="0"/>
        <v>343570000</v>
      </c>
      <c r="G8" s="10">
        <f t="shared" si="0"/>
        <v>12650000</v>
      </c>
      <c r="H8" s="10">
        <f>H10+H11+H12+H13+H14+H15+H16+H17+H18+H19+H20+H21+H22+H23</f>
        <v>330920000</v>
      </c>
      <c r="I8" s="30">
        <f>F8/C8*100</f>
        <v>143.81993310700784</v>
      </c>
      <c r="J8" s="30">
        <f>G8/D8*100</f>
        <v>696.969696969697</v>
      </c>
      <c r="K8" s="30">
        <f>H8/E8*100</f>
        <v>139.58510844715153</v>
      </c>
    </row>
    <row r="9" spans="1:13" x14ac:dyDescent="0.35">
      <c r="A9" s="1"/>
      <c r="B9" s="6" t="s">
        <v>60</v>
      </c>
      <c r="C9" s="1"/>
      <c r="D9" s="1"/>
      <c r="E9" s="1"/>
      <c r="F9" s="26"/>
      <c r="G9" s="26"/>
      <c r="H9" s="26"/>
      <c r="I9" s="38"/>
      <c r="J9" s="31"/>
      <c r="K9" s="31"/>
      <c r="M9" s="13"/>
    </row>
    <row r="10" spans="1:13" x14ac:dyDescent="0.35">
      <c r="A10" s="1">
        <v>1</v>
      </c>
      <c r="B10" s="6" t="s">
        <v>61</v>
      </c>
      <c r="C10" s="58">
        <f t="shared" ref="C10:C21" si="1">D10+E10</f>
        <v>132143970</v>
      </c>
      <c r="D10" s="33">
        <v>933842</v>
      </c>
      <c r="E10" s="33">
        <v>131210128</v>
      </c>
      <c r="F10" s="26">
        <f t="shared" ref="F10:F21" si="2">G10+H10</f>
        <v>142017415</v>
      </c>
      <c r="G10" s="26">
        <f>5480430-21015</f>
        <v>5459415</v>
      </c>
      <c r="H10" s="26">
        <v>136558000</v>
      </c>
      <c r="I10" s="38">
        <f t="shared" ref="I10:I12" si="3">F10/C10*100</f>
        <v>107.47173329210557</v>
      </c>
      <c r="J10" s="31">
        <f>G10/D10*100</f>
        <v>584.61870423476353</v>
      </c>
      <c r="K10" s="31">
        <f t="shared" ref="K10:K12" si="4">H10/E10*100</f>
        <v>104.07580731877648</v>
      </c>
    </row>
    <row r="11" spans="1:13" ht="31.5" customHeight="1" x14ac:dyDescent="0.35">
      <c r="A11" s="1">
        <v>2</v>
      </c>
      <c r="B11" s="6" t="s">
        <v>62</v>
      </c>
      <c r="C11" s="58">
        <f t="shared" si="1"/>
        <v>0</v>
      </c>
      <c r="D11" s="33">
        <v>0</v>
      </c>
      <c r="E11" s="33">
        <v>0</v>
      </c>
      <c r="F11" s="9">
        <f t="shared" si="2"/>
        <v>0</v>
      </c>
      <c r="G11" s="33">
        <v>0</v>
      </c>
      <c r="H11" s="33">
        <v>0</v>
      </c>
      <c r="I11" s="38"/>
      <c r="J11" s="31"/>
      <c r="K11" s="31"/>
    </row>
    <row r="12" spans="1:13" x14ac:dyDescent="0.35">
      <c r="A12" s="1">
        <v>3</v>
      </c>
      <c r="B12" s="6" t="s">
        <v>63</v>
      </c>
      <c r="C12" s="9">
        <f t="shared" si="1"/>
        <v>3747496</v>
      </c>
      <c r="D12" s="33">
        <v>12220</v>
      </c>
      <c r="E12" s="33">
        <v>3735276</v>
      </c>
      <c r="F12" s="26">
        <f t="shared" si="2"/>
        <v>4124171</v>
      </c>
      <c r="G12" s="26">
        <v>23171</v>
      </c>
      <c r="H12" s="26">
        <v>4101000</v>
      </c>
      <c r="I12" s="38">
        <f t="shared" si="3"/>
        <v>110.05137830700819</v>
      </c>
      <c r="J12" s="31">
        <f t="shared" ref="J12:J19" si="5">G12/D12*100</f>
        <v>189.61538461538461</v>
      </c>
      <c r="K12" s="31">
        <f t="shared" si="4"/>
        <v>109.79108371108319</v>
      </c>
    </row>
    <row r="13" spans="1:13" x14ac:dyDescent="0.35">
      <c r="A13" s="1">
        <v>4</v>
      </c>
      <c r="B13" s="6" t="s">
        <v>64</v>
      </c>
      <c r="C13" s="9">
        <f t="shared" si="1"/>
        <v>3209501</v>
      </c>
      <c r="D13" s="33">
        <v>331301</v>
      </c>
      <c r="E13" s="33">
        <f>834000+2044200</f>
        <v>2878200</v>
      </c>
      <c r="F13" s="26">
        <f t="shared" si="2"/>
        <v>3983797</v>
      </c>
      <c r="G13" s="26">
        <v>1136797</v>
      </c>
      <c r="H13" s="42">
        <v>2847000</v>
      </c>
      <c r="I13" s="38">
        <f t="shared" ref="I13:I21" si="6">F13/C13*100</f>
        <v>124.12512100790747</v>
      </c>
      <c r="J13" s="31">
        <f t="shared" si="5"/>
        <v>343.13117074805086</v>
      </c>
      <c r="K13" s="31">
        <f t="shared" ref="K13:K21" si="7">H13/E13*100</f>
        <v>98.915989159891609</v>
      </c>
    </row>
    <row r="14" spans="1:13" x14ac:dyDescent="0.35">
      <c r="A14" s="1">
        <v>5</v>
      </c>
      <c r="B14" s="6" t="s">
        <v>65</v>
      </c>
      <c r="C14" s="9">
        <f t="shared" si="1"/>
        <v>711500</v>
      </c>
      <c r="D14" s="33">
        <v>0</v>
      </c>
      <c r="E14" s="33">
        <f>466000+245500</f>
        <v>711500</v>
      </c>
      <c r="F14" s="26">
        <f t="shared" si="2"/>
        <v>711500</v>
      </c>
      <c r="G14" s="33">
        <v>0</v>
      </c>
      <c r="H14" s="42">
        <v>711500</v>
      </c>
      <c r="I14" s="38">
        <f t="shared" si="6"/>
        <v>100</v>
      </c>
      <c r="J14" s="31"/>
      <c r="K14" s="31">
        <f t="shared" si="7"/>
        <v>100</v>
      </c>
    </row>
    <row r="15" spans="1:13" x14ac:dyDescent="0.35">
      <c r="A15" s="1">
        <v>6</v>
      </c>
      <c r="B15" s="6" t="s">
        <v>66</v>
      </c>
      <c r="C15" s="9">
        <f t="shared" si="1"/>
        <v>377000</v>
      </c>
      <c r="D15" s="33">
        <v>0</v>
      </c>
      <c r="E15" s="33">
        <f>121000+256000</f>
        <v>377000</v>
      </c>
      <c r="F15" s="26">
        <f t="shared" si="2"/>
        <v>220500</v>
      </c>
      <c r="G15" s="33">
        <v>0</v>
      </c>
      <c r="H15" s="42">
        <v>220500</v>
      </c>
      <c r="I15" s="38">
        <f t="shared" si="6"/>
        <v>58.488063660477451</v>
      </c>
      <c r="J15" s="31"/>
      <c r="K15" s="31">
        <f t="shared" si="7"/>
        <v>58.488063660477451</v>
      </c>
    </row>
    <row r="16" spans="1:13" x14ac:dyDescent="0.35">
      <c r="A16" s="1">
        <v>7</v>
      </c>
      <c r="B16" s="6" t="s">
        <v>67</v>
      </c>
      <c r="C16" s="9">
        <f t="shared" si="1"/>
        <v>2158194</v>
      </c>
      <c r="D16" s="33">
        <v>10494</v>
      </c>
      <c r="E16" s="33">
        <f>124000+2023700</f>
        <v>2147700</v>
      </c>
      <c r="F16" s="26">
        <f t="shared" si="2"/>
        <v>2454974</v>
      </c>
      <c r="G16" s="26">
        <v>306974</v>
      </c>
      <c r="H16" s="42">
        <v>2148000</v>
      </c>
      <c r="I16" s="38">
        <f t="shared" si="6"/>
        <v>113.75131243993822</v>
      </c>
      <c r="J16" s="31">
        <f t="shared" si="5"/>
        <v>2925.2334667429009</v>
      </c>
      <c r="K16" s="31">
        <f t="shared" si="7"/>
        <v>100.01396843134516</v>
      </c>
    </row>
    <row r="17" spans="1:11" x14ac:dyDescent="0.35">
      <c r="A17" s="1">
        <v>8</v>
      </c>
      <c r="B17" s="6" t="s">
        <v>68</v>
      </c>
      <c r="C17" s="9">
        <f t="shared" si="1"/>
        <v>14612126</v>
      </c>
      <c r="D17" s="33">
        <v>75955</v>
      </c>
      <c r="E17" s="21">
        <f>1111000+13425171</f>
        <v>14536171</v>
      </c>
      <c r="F17" s="26">
        <f t="shared" si="2"/>
        <v>30682699</v>
      </c>
      <c r="G17" s="42">
        <v>3551699</v>
      </c>
      <c r="H17" s="42">
        <v>27131000</v>
      </c>
      <c r="I17" s="38">
        <f t="shared" si="6"/>
        <v>209.98107325381673</v>
      </c>
      <c r="J17" s="31">
        <f t="shared" si="5"/>
        <v>4676.0568757817127</v>
      </c>
      <c r="K17" s="31">
        <f t="shared" si="7"/>
        <v>186.64474984505893</v>
      </c>
    </row>
    <row r="18" spans="1:11" ht="46.5" x14ac:dyDescent="0.35">
      <c r="A18" s="1">
        <v>9</v>
      </c>
      <c r="B18" s="6" t="s">
        <v>69</v>
      </c>
      <c r="C18" s="50">
        <f t="shared" si="1"/>
        <v>58372665</v>
      </c>
      <c r="D18" s="33">
        <v>186690</v>
      </c>
      <c r="E18" s="33">
        <f>5447000+41648000+11090975</f>
        <v>58185975</v>
      </c>
      <c r="F18" s="43">
        <f t="shared" si="2"/>
        <v>108119472</v>
      </c>
      <c r="G18" s="43">
        <v>1646472</v>
      </c>
      <c r="H18" s="50">
        <f>2197000+5124000+99152000</f>
        <v>106473000</v>
      </c>
      <c r="I18" s="45">
        <f t="shared" si="6"/>
        <v>185.22277850428793</v>
      </c>
      <c r="J18" s="46">
        <f t="shared" si="5"/>
        <v>881.92833038727304</v>
      </c>
      <c r="K18" s="46">
        <f t="shared" si="7"/>
        <v>182.98739515836934</v>
      </c>
    </row>
    <row r="19" spans="1:11" x14ac:dyDescent="0.35">
      <c r="A19" s="1">
        <v>10</v>
      </c>
      <c r="B19" s="6" t="s">
        <v>70</v>
      </c>
      <c r="C19" s="9">
        <f t="shared" si="1"/>
        <v>17532548</v>
      </c>
      <c r="D19" s="33">
        <v>264498</v>
      </c>
      <c r="E19" s="21">
        <f>2347000+14921050</f>
        <v>17268050</v>
      </c>
      <c r="F19" s="26">
        <f t="shared" si="2"/>
        <v>32005472</v>
      </c>
      <c r="G19" s="26">
        <v>525472</v>
      </c>
      <c r="H19" s="42">
        <v>31480000</v>
      </c>
      <c r="I19" s="38">
        <f t="shared" si="6"/>
        <v>182.54889135338456</v>
      </c>
      <c r="J19" s="31">
        <f t="shared" si="5"/>
        <v>198.66766478385469</v>
      </c>
      <c r="K19" s="31">
        <f t="shared" si="7"/>
        <v>182.30199704077762</v>
      </c>
    </row>
    <row r="20" spans="1:11" x14ac:dyDescent="0.35">
      <c r="A20" s="1">
        <v>11</v>
      </c>
      <c r="B20" s="6" t="s">
        <v>71</v>
      </c>
      <c r="C20" s="9">
        <f t="shared" si="1"/>
        <v>1239000</v>
      </c>
      <c r="D20" s="21">
        <v>0</v>
      </c>
      <c r="E20" s="8">
        <f>232000+1007000</f>
        <v>1239000</v>
      </c>
      <c r="F20" s="26">
        <f t="shared" si="2"/>
        <v>1239000</v>
      </c>
      <c r="G20" s="26"/>
      <c r="H20" s="42">
        <v>1239000</v>
      </c>
      <c r="I20" s="38">
        <f t="shared" si="6"/>
        <v>100</v>
      </c>
      <c r="J20" s="31"/>
      <c r="K20" s="31">
        <f t="shared" si="7"/>
        <v>100</v>
      </c>
    </row>
    <row r="21" spans="1:11" x14ac:dyDescent="0.35">
      <c r="A21" s="1">
        <v>12</v>
      </c>
      <c r="B21" s="6" t="s">
        <v>72</v>
      </c>
      <c r="C21" s="9">
        <f t="shared" si="1"/>
        <v>4785000</v>
      </c>
      <c r="D21" s="33">
        <v>0</v>
      </c>
      <c r="E21" s="8">
        <f>1285000+3500000</f>
        <v>4785000</v>
      </c>
      <c r="F21" s="26">
        <f t="shared" si="2"/>
        <v>4785000</v>
      </c>
      <c r="G21" s="26"/>
      <c r="H21" s="24">
        <v>4785000</v>
      </c>
      <c r="I21" s="38">
        <f t="shared" si="6"/>
        <v>100</v>
      </c>
      <c r="J21" s="31"/>
      <c r="K21" s="31">
        <f t="shared" si="7"/>
        <v>100</v>
      </c>
    </row>
    <row r="22" spans="1:11" x14ac:dyDescent="0.35">
      <c r="A22" s="1">
        <v>13</v>
      </c>
      <c r="B22" s="16" t="s">
        <v>77</v>
      </c>
      <c r="C22" s="16"/>
      <c r="D22" s="16"/>
      <c r="E22" s="16"/>
      <c r="F22" s="26">
        <f>G21+H22</f>
        <v>3762000</v>
      </c>
      <c r="G22" s="35"/>
      <c r="H22" s="26">
        <v>3762000</v>
      </c>
      <c r="I22" s="16"/>
      <c r="J22" s="31"/>
      <c r="K22" s="16"/>
    </row>
    <row r="23" spans="1:11" ht="31" x14ac:dyDescent="0.35">
      <c r="A23" s="1">
        <v>14</v>
      </c>
      <c r="B23" s="55" t="s">
        <v>88</v>
      </c>
      <c r="C23" s="16"/>
      <c r="D23" s="16"/>
      <c r="E23" s="16"/>
      <c r="F23" s="43">
        <f>G22+H23</f>
        <v>9464000</v>
      </c>
      <c r="G23" s="35"/>
      <c r="H23" s="35">
        <v>9464000</v>
      </c>
      <c r="I23" s="16"/>
      <c r="J23" s="31"/>
      <c r="K23" s="16"/>
    </row>
  </sheetData>
  <mergeCells count="10">
    <mergeCell ref="I4:K4"/>
    <mergeCell ref="A1:C1"/>
    <mergeCell ref="A5:A6"/>
    <mergeCell ref="B5:B6"/>
    <mergeCell ref="C5:E5"/>
    <mergeCell ref="F5:H5"/>
    <mergeCell ref="I5:K5"/>
    <mergeCell ref="A2:K2"/>
    <mergeCell ref="A3:K3"/>
    <mergeCell ref="H1:K1"/>
  </mergeCells>
  <pageMargins left="0.7" right="0.45" top="0.75" bottom="0.75" header="0.3" footer="0.3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113</vt:lpstr>
      <vt:lpstr>114</vt:lpstr>
      <vt:lpstr>115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ACER</cp:lastModifiedBy>
  <cp:lastPrinted>2024-03-29T04:30:40Z</cp:lastPrinted>
  <dcterms:created xsi:type="dcterms:W3CDTF">2022-10-10T07:58:34Z</dcterms:created>
  <dcterms:modified xsi:type="dcterms:W3CDTF">2026-01-22T06:28:29Z</dcterms:modified>
</cp:coreProperties>
</file>